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lo" sheetId="1" state="visible" r:id="rId2"/>
    <sheet name="Foglio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GS</author>
  </authors>
  <commentList>
    <comment ref="B10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</t>
        </r>
      </text>
    </comment>
    <comment ref="B14" authorId="0">
      <text>
        <r>
          <rPr>
            <sz val="9"/>
            <color rgb="FF000000"/>
            <rFont val="Tahoma"/>
            <family val="2"/>
            <charset val="1"/>
          </rPr>
          <t xml:space="preserve">Si hanno a disposizione pannelli solari per ricaricare il veicolo?</t>
        </r>
      </text>
    </comment>
    <comment ref="B18" authorId="0">
      <text>
        <r>
          <rPr>
            <sz val="9"/>
            <color rgb="FF000000"/>
            <rFont val="Tahoma"/>
            <family val="2"/>
            <charset val="1"/>
          </rPr>
          <t xml:space="preserve">Se l'auto è totalmente elettrica inserire 1, altrimenti la percentuale di elttrico nell'ibrido, il restante sarà calcolato considerando l'altra tipologia nelle colonne dati auto convenzionali </t>
        </r>
      </text>
    </comment>
    <comment ref="B22" authorId="0">
      <text>
        <r>
          <rPr>
            <sz val="9"/>
            <color rgb="FF000000"/>
            <rFont val="Tahoma"/>
            <family val="2"/>
            <charset val="1"/>
          </rPr>
          <t xml:space="preserve">alcune case automobilistiche permettono di noleggiare la batteria (il prezzo del veicolo sarà probabilmente inferiore)</t>
        </r>
      </text>
    </comment>
    <comment ref="B26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
</t>
        </r>
      </text>
    </comment>
    <comment ref="B30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
</t>
        </r>
      </text>
    </comment>
    <comment ref="B34" authorId="0">
      <text>
        <r>
          <rPr>
            <sz val="9"/>
            <color rgb="FF000000"/>
            <rFont val="Tahoma"/>
            <family val="2"/>
            <charset val="1"/>
          </rPr>
          <t xml:space="preserve">Se non si hanno a disposizione le specifiche tecniche si può usare
Il valore medio per le automobili di 6,897. Per i furgoni commerciali &lt;3,5 t si può usare 3 Km/kWh
</t>
        </r>
      </text>
    </comment>
    <comment ref="B38" authorId="0">
      <text>
        <r>
          <rPr>
            <sz val="9"/>
            <color rgb="FF000000"/>
            <rFont val="Tahoma"/>
            <family val="2"/>
            <charset val="1"/>
          </rPr>
          <t xml:space="preserve">Il dato si può trovare nella bolletta elettrica.
Un dato medio potrebbe essere 0,25. Attenzione, se si ha disposizione il pannello solare il simulatore considererà tale dato 0.</t>
        </r>
      </text>
    </comment>
    <comment ref="B42" authorId="0">
      <text>
        <r>
          <rPr>
            <sz val="9"/>
            <color rgb="FF000000"/>
            <rFont val="Tahoma"/>
            <family val="2"/>
            <charset val="1"/>
          </rPr>
          <t xml:space="preserve">Le auto elettriche più vecchie montano solitamente batterie da 20 kWh, le più moderne vanno da 40 a 100 kWh.</t>
        </r>
      </text>
    </comment>
    <comment ref="B46" authorId="0">
      <text>
        <r>
          <rPr>
            <sz val="9"/>
            <color rgb="FF000000"/>
            <rFont val="Tahoma"/>
            <family val="2"/>
            <charset val="1"/>
          </rPr>
          <t xml:space="preserve">Inserire il peso del veicolo elettrico che si sta analizzando. ATTENZIONE che il peso sia giusto in relazione alla tipologia di veicolo
</t>
        </r>
      </text>
    </comment>
    <comment ref="B50" authorId="0">
      <text>
        <r>
          <rPr>
            <sz val="9"/>
            <color rgb="FF000000"/>
            <rFont val="Tahoma"/>
            <family val="2"/>
            <charset val="1"/>
          </rPr>
          <t xml:space="preserve">Inserire il prezzo di acquisto della colonnina elettrica se si vuole considerare l'ammortamento nell'analisi. Attenzione, considerare che si può alimentare più automobili.
</t>
        </r>
      </text>
    </comment>
    <comment ref="B54" authorId="0">
      <text>
        <r>
          <rPr>
            <sz val="9"/>
            <color rgb="FF000000"/>
            <rFont val="Tahoma"/>
            <family val="2"/>
            <charset val="1"/>
          </rPr>
          <t xml:space="preserve">Alcune aziende offrono una tariffa fissa mensile per ricaricaricare l'automobile. Se si inserisce la tariffa il simulatore solo tale costo fisso.</t>
        </r>
      </text>
    </comment>
    <comment ref="B59" authorId="0">
      <text>
        <r>
          <rPr>
            <sz val="9"/>
            <color rgb="FF000000"/>
            <rFont val="Tahoma"/>
            <family val="2"/>
            <charset val="1"/>
          </rPr>
          <t xml:space="preserve">Inserire incentivi all'acquisto dell'automobile.</t>
        </r>
      </text>
    </comment>
    <comment ref="B63" authorId="0">
      <text>
        <r>
          <rPr>
            <sz val="9"/>
            <color rgb="FF000000"/>
            <rFont val="Tahoma"/>
            <family val="2"/>
            <charset val="1"/>
          </rPr>
          <t xml:space="preserve">inserire percentuale prevista di ricarica in pubblico (non a casa, tramite bolletta o pan. Solari).
Gratuita: (cinema, centri commerciali, ecc…): il prezzo sarà 0€/kWh
normale: prezzo 0,45 €/kWh
fast (rapida): prezzo di 0,55 €/kWH.
La somma delle tre percentuali + la percentuale di ricarica privata deve fare 100.
</t>
        </r>
      </text>
    </comment>
    <comment ref="B68" authorId="0">
      <text>
        <r>
          <rPr>
            <sz val="9"/>
            <color rgb="FF000000"/>
            <rFont val="Tahoma"/>
            <family val="2"/>
            <charset val="1"/>
          </rPr>
          <t xml:space="preserve">Inserire il prezzo di acquisto del pannello solare se si vuole considerare l'ammortamento nell'analisi. Attenzione, considerare che il pannello solare può alimentare più automobili, oltre che altri consumi.</t>
        </r>
      </text>
    </comment>
    <comment ref="E10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
</t>
        </r>
      </text>
    </comment>
    <comment ref="E18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
</t>
        </r>
      </text>
    </comment>
    <comment ref="E22" authorId="0">
      <text>
        <r>
          <rPr>
            <sz val="9"/>
            <color rgb="FF000000"/>
            <rFont val="Tahoma"/>
            <family val="2"/>
            <charset val="1"/>
          </rPr>
          <t xml:space="preserve">Se si vuole fare un'analisi di più anni si consiglia di stimare un valore medio negli anni
</t>
        </r>
      </text>
    </comment>
    <comment ref="E26" authorId="0">
      <text>
        <r>
          <rPr>
            <sz val="9"/>
            <color rgb="FF000000"/>
            <rFont val="Tahoma"/>
            <family val="2"/>
            <charset val="1"/>
          </rPr>
          <t xml:space="preserve">Se non si ha a disposizione la specifica tecnica considerare un dato medio di 20 per le auto a benzina (7/8 per i veicoli commerciali leggeri , 4 per i pesanti); per i diesel 24 per le automobili, 12comm. leggeri </t>
        </r>
      </text>
    </comment>
    <comment ref="E34" authorId="0">
      <text>
        <r>
          <rPr>
            <sz val="9"/>
            <color rgb="FF000000"/>
            <rFont val="Tahoma"/>
            <family val="2"/>
            <charset val="1"/>
          </rPr>
          <t xml:space="preserve">Se non si ha a disposizione la specifica tecnica mettere 0 (il simulatore utilizzerà un dato medio)</t>
        </r>
      </text>
    </comment>
    <comment ref="E38" authorId="0">
      <text>
        <r>
          <rPr>
            <sz val="9"/>
            <color rgb="FF000000"/>
            <rFont val="Tahoma"/>
            <family val="2"/>
            <charset val="1"/>
          </rPr>
          <t xml:space="preserve">Inserire il peso del veicolo ICEV che si sta analizzando. ATTENZIONE che il peso sia giusto in relazione alla tipologia di veicolo</t>
        </r>
      </text>
    </comment>
    <comment ref="E42" authorId="0">
      <text>
        <r>
          <rPr>
            <sz val="9"/>
            <color rgb="FF000000"/>
            <rFont val="Tahoma"/>
            <family val="2"/>
            <charset val="1"/>
          </rPr>
          <t xml:space="preserve">Inserire il peso del veicolo ICEV che si sta analizzando. ATTENZIONE che il peso sia giusto in relazione alla tipologia di veicolo</t>
        </r>
      </text>
    </comment>
    <comment ref="H6" authorId="0">
      <text>
        <r>
          <rPr>
            <sz val="9"/>
            <color rgb="FF000000"/>
            <rFont val="Tahoma"/>
            <family val="2"/>
            <charset val="1"/>
          </rPr>
          <t xml:space="preserve">Se si intende fare un'analisi di più anni, inserire un dato medio</t>
        </r>
      </text>
    </comment>
    <comment ref="H10" authorId="0">
      <text>
        <r>
          <rPr>
            <sz val="9"/>
            <color rgb="FF000000"/>
            <rFont val="Tahoma"/>
            <family val="2"/>
            <charset val="1"/>
          </rPr>
          <t xml:space="preserve">Inserire la percentuale del costo veicolo che si vuole finanziare tramite prestito.
Se si paga tutto subito inserire 0</t>
        </r>
      </text>
    </comment>
    <comment ref="H14" authorId="0">
      <text>
        <r>
          <rPr>
            <sz val="9"/>
            <color rgb="FF000000"/>
            <rFont val="Tahoma"/>
            <family val="2"/>
            <charset val="1"/>
          </rPr>
          <t xml:space="preserve">Inserire il tasso annuo (TAEG) del prestito ottenuto (ad esempio da una banca)</t>
        </r>
      </text>
    </comment>
    <comment ref="H18" authorId="0">
      <text>
        <r>
          <rPr>
            <sz val="9"/>
            <color rgb="FF000000"/>
            <rFont val="Tahoma"/>
            <family val="2"/>
            <charset val="1"/>
          </rPr>
          <t xml:space="preserve">inserire in quanto tempo si ripagherà il prestito.</t>
        </r>
      </text>
    </comment>
    <comment ref="H26" authorId="0">
      <text>
        <r>
          <rPr>
            <sz val="9"/>
            <color rgb="FF000000"/>
            <rFont val="Tahoma"/>
            <family val="2"/>
            <charset val="1"/>
          </rPr>
          <t xml:space="preserve">inserire la tipologia di veicolo di cui si vuole fare l'analisi. </t>
        </r>
      </text>
    </comment>
    <comment ref="H30" authorId="0">
      <text>
        <r>
          <rPr>
            <sz val="9"/>
            <color rgb="FF000000"/>
            <rFont val="Tahoma"/>
            <family val="2"/>
            <charset val="1"/>
          </rPr>
          <t xml:space="preserve">Nel caso di analisi di veicoli commerciali inserire una stima del trasporto annuo, per ottenere il costo annuo per massa trasportata</t>
        </r>
      </text>
    </comment>
    <comment ref="H34" authorId="0">
      <text>
        <r>
          <rPr>
            <sz val="9"/>
            <color rgb="FF000000"/>
            <rFont val="Tahoma"/>
            <family val="2"/>
            <charset val="1"/>
          </rPr>
          <t xml:space="preserve">Inserire anni a cui si vuole ammortizzare l'investimento iniziale.
La durata media di un'automobile in Italia è di 12 anni, mentre i pannelli e la colonnina potrebbe essere ammortizzata in 20
</t>
        </r>
      </tex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costo annuo del carburante/energia elettrica</t>
        </r>
      </text>
    </comment>
    <comment ref="L7" authorId="0">
      <text>
        <r>
          <rPr>
            <sz val="9"/>
            <color rgb="FF000000"/>
            <rFont val="Tahoma"/>
            <family val="2"/>
            <charset val="1"/>
          </rPr>
          <t xml:space="preserve">Costo annuo del noleggio della batteria+ la rata del finanziamento</t>
        </r>
      </text>
    </comment>
    <comment ref="L8" authorId="0">
      <text>
        <r>
          <rPr>
            <sz val="9"/>
            <color rgb="FF000000"/>
            <rFont val="Tahoma"/>
            <family val="2"/>
            <charset val="1"/>
          </rPr>
          <t xml:space="preserve">Investimento iniziale comprensivo del costo del veicolo, della col.elettrica e del pannello solare
</t>
        </r>
      </text>
    </comment>
    <comment ref="L10" authorId="0">
      <text>
        <r>
          <rPr>
            <sz val="9"/>
            <color rgb="FF000000"/>
            <rFont val="Tahoma"/>
            <family val="2"/>
            <charset val="1"/>
          </rPr>
          <t xml:space="preserve">Costo annuo dell'assicurazione, bollo e della manutenzione</t>
        </r>
      </text>
    </comment>
    <comment ref="L11" authorId="0">
      <text>
        <r>
          <rPr>
            <sz val="9"/>
            <color rgb="FF000000"/>
            <rFont val="Tahoma"/>
            <family val="2"/>
            <charset val="1"/>
          </rPr>
          <t xml:space="preserve">Costo energia+ costo fisso+ costo operativo</t>
        </r>
      </text>
    </comment>
    <comment ref="L17" authorId="0">
      <text>
        <r>
          <rPr>
            <sz val="9"/>
            <color rgb="FF000000"/>
            <rFont val="Tahoma"/>
            <family val="2"/>
            <charset val="1"/>
          </rPr>
          <t xml:space="preserve">Valore residuo veicolo in caso di rivendita (l'auto elettrica si svaluta più velocemente)</t>
        </r>
      </text>
    </comment>
    <comment ref="L19" authorId="0">
      <text>
        <r>
          <rPr>
            <sz val="9"/>
            <color rgb="FF000000"/>
            <rFont val="Tahoma"/>
            <family val="2"/>
            <charset val="1"/>
          </rPr>
          <t xml:space="preserve">costo al Km carburante/ energia elettrica</t>
        </r>
      </text>
    </comment>
    <comment ref="L21" authorId="0">
      <text>
        <r>
          <rPr>
            <sz val="9"/>
            <color rgb="FF000000"/>
            <rFont val="Tahoma"/>
            <family val="2"/>
            <charset val="1"/>
          </rPr>
          <t xml:space="preserve">CO2 emessa durante l'uso del veicolo, produzione e distribuzione del carburante e produzione/distribuzione energia elettrica (mix energetico italiani 2018 considerando trascurabile l'emissione della parte alimentata con pannello solare)</t>
        </r>
      </tex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Kg/Km di CO2 in fase d'uso+ CO2equivalente emessa in fase di produzione e smaltimento del veicolo, vita utile della batteria.</t>
        </r>
      </text>
    </comment>
    <comment ref="L26" authorId="0">
      <text>
        <r>
          <rPr>
            <sz val="9"/>
            <color rgb="FF000000"/>
            <rFont val="Tahoma"/>
            <family val="2"/>
            <charset val="1"/>
          </rPr>
          <t xml:space="preserve">considerando per l'ambiente e la società il costo specifico di ogni emissione</t>
        </r>
      </text>
    </comment>
  </commentList>
</comments>
</file>

<file path=xl/sharedStrings.xml><?xml version="1.0" encoding="utf-8"?>
<sst xmlns="http://schemas.openxmlformats.org/spreadsheetml/2006/main" count="90" uniqueCount="81">
  <si>
    <t xml:space="preserve">Simulatore costi/benefici veicolo</t>
  </si>
  <si>
    <t xml:space="preserve">dati auto elettrica</t>
  </si>
  <si>
    <t xml:space="preserve">dati auto tradizionali</t>
  </si>
  <si>
    <t xml:space="preserve">dati generali</t>
  </si>
  <si>
    <t xml:space="preserve">auto elettrica senza pannello</t>
  </si>
  <si>
    <t xml:space="preserve">auto benzina</t>
  </si>
  <si>
    <t xml:space="preserve">Costo veicolo</t>
  </si>
  <si>
    <t xml:space="preserve">Km percorsi all'anno</t>
  </si>
  <si>
    <t xml:space="preserve">costo annuo energia</t>
  </si>
  <si>
    <t xml:space="preserve">costo fisso annuo</t>
  </si>
  <si>
    <t xml:space="preserve">investimento iniziale</t>
  </si>
  <si>
    <t xml:space="preserve">ammortamento annuo investimento iniziale</t>
  </si>
  <si>
    <t xml:space="preserve">Costo annuo assicurazione (€)</t>
  </si>
  <si>
    <t xml:space="preserve">percentuale prestito</t>
  </si>
  <si>
    <t xml:space="preserve">costo operativo annuo</t>
  </si>
  <si>
    <t xml:space="preserve">costo annuo totale</t>
  </si>
  <si>
    <t xml:space="preserve">costo totale primo anno (compreso investimento iniziale)</t>
  </si>
  <si>
    <t xml:space="preserve">costo totale dopo 5 anni (senza ammortamento)</t>
  </si>
  <si>
    <t xml:space="preserve">pannelli fotovoltaici</t>
  </si>
  <si>
    <t xml:space="preserve">tipologia di alimentazione</t>
  </si>
  <si>
    <t xml:space="preserve">Tasso di interesse annuo prestito </t>
  </si>
  <si>
    <t xml:space="preserve">costo totale dopo 5 anni (con ammortamento)</t>
  </si>
  <si>
    <t xml:space="preserve">si</t>
  </si>
  <si>
    <t xml:space="preserve">benzina</t>
  </si>
  <si>
    <t xml:space="preserve">costo totale dopo 10 anni (senza ammortamento)</t>
  </si>
  <si>
    <t xml:space="preserve">costo totale dopo 10 anni (con ammortamento)</t>
  </si>
  <si>
    <t xml:space="preserve">valore residuo veicolo dopo 5 anni </t>
  </si>
  <si>
    <t xml:space="preserve">ibrida (percentuale elettrico)</t>
  </si>
  <si>
    <t xml:space="preserve">costo manutenzione annuo (€)</t>
  </si>
  <si>
    <t xml:space="preserve">durata prestito (anni)</t>
  </si>
  <si>
    <t xml:space="preserve">valore residuo veicolo dopo 10 anni</t>
  </si>
  <si>
    <t xml:space="preserve">€/Km alimentazione</t>
  </si>
  <si>
    <t xml:space="preserve">g annui PM10 in fase d'uso</t>
  </si>
  <si>
    <t xml:space="preserve">Kg annui CO2 in fase d'uso</t>
  </si>
  <si>
    <t xml:space="preserve">costo mensile prestito batteria (€)</t>
  </si>
  <si>
    <t xml:space="preserve">costo bollo annuo (€)</t>
  </si>
  <si>
    <t xml:space="preserve">considerare stima inflazione energia?</t>
  </si>
  <si>
    <t xml:space="preserve">Kg annui CO2 totale</t>
  </si>
  <si>
    <t xml:space="preserve">no</t>
  </si>
  <si>
    <t xml:space="preserve">g annui NOx in fase d'uso</t>
  </si>
  <si>
    <t xml:space="preserve">g annui SOx in fase d'uso</t>
  </si>
  <si>
    <t xml:space="preserve">costo annuo manutenzione (€)</t>
  </si>
  <si>
    <t xml:space="preserve">Km/litro</t>
  </si>
  <si>
    <t xml:space="preserve">tipologia veicolo </t>
  </si>
  <si>
    <t xml:space="preserve">costo sociale annuo (€)</t>
  </si>
  <si>
    <t xml:space="preserve">camion ≤3,5t (commerciale)</t>
  </si>
  <si>
    <t xml:space="preserve">costo sociale annuo in fase d'uso (€)</t>
  </si>
  <si>
    <t xml:space="preserve">costo annuo (senza investimento) per massa trasportata €/Kg</t>
  </si>
  <si>
    <t xml:space="preserve">costo carburante(€/litro)</t>
  </si>
  <si>
    <t xml:space="preserve">prodotto trasportato (kg annuo)</t>
  </si>
  <si>
    <t xml:space="preserve">Km/kWh</t>
  </si>
  <si>
    <t xml:space="preserve">g/Km CO2 in fase d'uso</t>
  </si>
  <si>
    <t xml:space="preserve">vita utile ammortamento</t>
  </si>
  <si>
    <t xml:space="preserve">auto</t>
  </si>
  <si>
    <t xml:space="preserve">pannello solare</t>
  </si>
  <si>
    <t xml:space="preserve">col. Ricarica</t>
  </si>
  <si>
    <t xml:space="preserve">€/kWh bolletta propria</t>
  </si>
  <si>
    <t xml:space="preserve">peso veicolo tonnellate (1 t=1000Kg)</t>
  </si>
  <si>
    <t xml:space="preserve">v.u</t>
  </si>
  <si>
    <t xml:space="preserve">v.u standard</t>
  </si>
  <si>
    <t xml:space="preserve">dimensioni batteria (kWh)</t>
  </si>
  <si>
    <t xml:space="preserve">Costo annuo parcheggio (€)</t>
  </si>
  <si>
    <t xml:space="preserve">v.u. standard batteria</t>
  </si>
  <si>
    <t xml:space="preserve">peso veicolo tonnellate (1t=1000Kg)</t>
  </si>
  <si>
    <t xml:space="preserve">costo colonnina ricarica (€)</t>
  </si>
  <si>
    <t xml:space="preserve">abb. flat colonnina elettrica (€/mese)</t>
  </si>
  <si>
    <t xml:space="preserve">incentivi all'acquisto (€)</t>
  </si>
  <si>
    <t xml:space="preserve">percentuale ricarica mix elettrico italiano</t>
  </si>
  <si>
    <t xml:space="preserve">il complemento a 100 rappresenta la percentuale di alimentazione da sistema fotovoltaico</t>
  </si>
  <si>
    <t xml:space="preserve">domicilio</t>
  </si>
  <si>
    <t xml:space="preserve">colonnina normale</t>
  </si>
  <si>
    <t xml:space="preserve">colonnina fast</t>
  </si>
  <si>
    <t xml:space="preserve">costo pannello solare (€)</t>
  </si>
  <si>
    <t xml:space="preserve">Prezzo rivendita energia (€/kWh)</t>
  </si>
  <si>
    <t xml:space="preserve">produzione annua (Kw)</t>
  </si>
  <si>
    <t xml:space="preserve">percentuale altri consumi</t>
  </si>
  <si>
    <t xml:space="preserve">gpl</t>
  </si>
  <si>
    <t xml:space="preserve">camion &gt;3,5t (commerciale)</t>
  </si>
  <si>
    <t xml:space="preserve">metano</t>
  </si>
  <si>
    <t xml:space="preserve">automobile</t>
  </si>
  <si>
    <t xml:space="preserve">diesel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</si>
</sst>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&quot; €&quot;"/>
    <numFmt numFmtId="166" formatCode="#,##0&quot; €&quot;"/>
    <numFmt numFmtId="167" formatCode="0%"/>
    <numFmt numFmtId="168" formatCode="0.00"/>
    <numFmt numFmtId="169" formatCode="0.000"/>
    <numFmt numFmtId="170" formatCode="0.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FF0000"/>
      <name val="Calibri"/>
      <family val="2"/>
      <charset val="1"/>
    </font>
    <font>
      <sz val="18"/>
      <color rgb="FFFF0000"/>
      <name val="Calibri"/>
      <family val="2"/>
      <charset val="1"/>
    </font>
    <font>
      <sz val="18"/>
      <color rgb="FF002060"/>
      <name val="Calibri"/>
      <family val="2"/>
      <charset val="1"/>
    </font>
    <font>
      <sz val="18"/>
      <color rgb="FFEDEDED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2060"/>
      <name val="Calibri"/>
      <family val="2"/>
      <charset val="1"/>
    </font>
    <font>
      <sz val="11"/>
      <color rgb="FFEDEDED"/>
      <name val="Calibri"/>
      <family val="2"/>
      <charset val="1"/>
    </font>
    <font>
      <sz val="14"/>
      <color rgb="FF002060"/>
      <name val="Calibri"/>
      <family val="2"/>
      <charset val="1"/>
    </font>
    <font>
      <sz val="11"/>
      <color rgb="FFC00000"/>
      <name val="Calibri"/>
      <family val="2"/>
      <charset val="1"/>
    </font>
    <font>
      <u val="single"/>
      <sz val="11"/>
      <color rgb="FFFF0000"/>
      <name val="Calibri"/>
      <family val="2"/>
      <charset val="1"/>
    </font>
    <font>
      <sz val="9"/>
      <color rgb="FF000000"/>
      <name val="Tahoma"/>
      <family val="2"/>
      <charset val="1"/>
    </font>
    <font>
      <b val="true"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FF21"/>
        <bgColor rgb="FFCCFFCC"/>
      </patternFill>
    </fill>
    <fill>
      <patternFill patternType="solid">
        <fgColor rgb="FF00B0F0"/>
        <bgColor rgb="FF33CCCC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EDEDED"/>
      </patternFill>
    </fill>
    <fill>
      <patternFill patternType="solid">
        <fgColor rgb="FFCCCCC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5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8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9" fillId="3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0FF21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T7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2" activeCellId="0" sqref="M22"/>
    </sheetView>
  </sheetViews>
  <sheetFormatPr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9.29"/>
    <col collapsed="false" customWidth="true" hidden="false" outlineLevel="0" max="3" min="3" style="0" width="17.29"/>
    <col collapsed="false" customWidth="true" hidden="false" outlineLevel="0" max="4" min="4" style="0" width="13.57"/>
    <col collapsed="false" customWidth="true" hidden="false" outlineLevel="0" max="5" min="5" style="0" width="8.86"/>
    <col collapsed="false" customWidth="true" hidden="false" outlineLevel="0" max="6" min="6" style="0" width="18.58"/>
    <col collapsed="false" customWidth="true" hidden="false" outlineLevel="0" max="7" min="7" style="0" width="8.57"/>
    <col collapsed="false" customWidth="true" hidden="false" outlineLevel="0" max="8" min="8" style="0" width="8.14"/>
    <col collapsed="false" customWidth="true" hidden="false" outlineLevel="0" max="9" min="9" style="0" width="17.42"/>
    <col collapsed="false" customWidth="true" hidden="false" outlineLevel="0" max="10" min="10" style="0" width="10.58"/>
    <col collapsed="false" customWidth="true" hidden="false" outlineLevel="0" max="11" min="11" style="0" width="8.67"/>
    <col collapsed="false" customWidth="true" hidden="false" outlineLevel="0" max="12" min="12" style="0" width="56.28"/>
    <col collapsed="false" customWidth="true" hidden="false" outlineLevel="0" max="14" min="13" style="0" width="8.67"/>
    <col collapsed="false" customWidth="true" hidden="false" outlineLevel="0" max="15" min="15" style="0" width="11.57"/>
    <col collapsed="false" customWidth="true" hidden="false" outlineLevel="0" max="1025" min="16" style="0" width="8.67"/>
  </cols>
  <sheetData>
    <row r="2" customFormat="false" ht="28.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customFormat="false" ht="23.25" hidden="false" customHeight="true" outlineLevel="0" collapsed="false">
      <c r="B4" s="2" t="s">
        <v>1</v>
      </c>
      <c r="C4" s="2"/>
      <c r="D4" s="2"/>
      <c r="E4" s="3" t="s">
        <v>2</v>
      </c>
      <c r="F4" s="3"/>
      <c r="G4" s="3"/>
      <c r="H4" s="4" t="s">
        <v>3</v>
      </c>
      <c r="I4" s="4"/>
      <c r="J4" s="4"/>
      <c r="L4" s="5"/>
      <c r="M4" s="6" t="s">
        <v>4</v>
      </c>
      <c r="N4" s="6"/>
      <c r="O4" s="7" t="s">
        <v>5</v>
      </c>
      <c r="P4" s="7"/>
      <c r="Q4" s="6"/>
      <c r="R4" s="6"/>
      <c r="S4" s="7"/>
      <c r="T4" s="7"/>
    </row>
    <row r="5" customFormat="false" ht="15" hidden="false" customHeight="false" outlineLevel="0" collapsed="false">
      <c r="B5" s="8"/>
      <c r="C5" s="8"/>
      <c r="D5" s="8"/>
      <c r="E5" s="9"/>
      <c r="F5" s="9"/>
      <c r="G5" s="9"/>
      <c r="H5" s="10"/>
      <c r="I5" s="10"/>
      <c r="J5" s="10"/>
      <c r="L5" s="11"/>
      <c r="M5" s="6"/>
      <c r="N5" s="6"/>
      <c r="O5" s="12"/>
      <c r="P5" s="12"/>
      <c r="Q5" s="6"/>
      <c r="R5" s="6"/>
      <c r="S5" s="12"/>
      <c r="T5" s="12"/>
    </row>
    <row r="6" customFormat="false" ht="15" hidden="false" customHeight="false" outlineLevel="0" collapsed="false">
      <c r="B6" s="13" t="s">
        <v>6</v>
      </c>
      <c r="C6" s="13"/>
      <c r="D6" s="13"/>
      <c r="E6" s="14" t="s">
        <v>6</v>
      </c>
      <c r="F6" s="14"/>
      <c r="G6" s="14"/>
      <c r="H6" s="15" t="s">
        <v>7</v>
      </c>
      <c r="I6" s="15"/>
      <c r="J6" s="15"/>
      <c r="L6" s="5" t="s">
        <v>8</v>
      </c>
      <c r="M6" s="16" t="n">
        <f aca="false">(C56*12+I7*(C39/C35)*B65+C65*0.45*I7/C35+0.55*I7/C35*D65-((C75*(1-C78)-(I7/C35)*(1-(B65+C65+D65)))*Foglio2!D9*C72+C78*C75*C39)*IF(C15="no",0,1))*C19+(1-C19)*I7*F31/F27</f>
        <v>180.000062745006</v>
      </c>
      <c r="N6" s="16"/>
      <c r="O6" s="16" t="n">
        <f aca="false">O19*I7</f>
        <v>1000</v>
      </c>
      <c r="P6" s="16"/>
      <c r="Q6" s="16"/>
      <c r="R6" s="16"/>
      <c r="S6" s="16"/>
      <c r="T6" s="16"/>
    </row>
    <row r="7" customFormat="false" ht="15" hidden="false" customHeight="false" outlineLevel="0" collapsed="false">
      <c r="B7" s="17"/>
      <c r="C7" s="13" t="n">
        <v>60000</v>
      </c>
      <c r="D7" s="17"/>
      <c r="E7" s="18"/>
      <c r="F7" s="14" t="n">
        <v>35200</v>
      </c>
      <c r="G7" s="18"/>
      <c r="H7" s="19"/>
      <c r="I7" s="15" t="n">
        <v>10000</v>
      </c>
      <c r="J7" s="19"/>
      <c r="L7" s="5" t="s">
        <v>9</v>
      </c>
      <c r="M7" s="16" t="n">
        <f aca="false">M5+C23*12</f>
        <v>0</v>
      </c>
      <c r="N7" s="16"/>
      <c r="O7" s="16" t="n">
        <f aca="false">O5</f>
        <v>0</v>
      </c>
      <c r="P7" s="16"/>
      <c r="Q7" s="16"/>
      <c r="R7" s="16"/>
      <c r="S7" s="16"/>
      <c r="T7" s="16"/>
    </row>
    <row r="8" customFormat="false" ht="15" hidden="false" customHeight="false" outlineLevel="0" collapsed="false">
      <c r="B8" s="17"/>
      <c r="C8" s="13"/>
      <c r="D8" s="17"/>
      <c r="E8" s="18"/>
      <c r="F8" s="14"/>
      <c r="G8" s="18"/>
      <c r="H8" s="19"/>
      <c r="I8" s="15"/>
      <c r="J8" s="19"/>
      <c r="L8" s="5" t="s">
        <v>10</v>
      </c>
      <c r="M8" s="16" t="n">
        <f aca="false">C7*(1-I11)+IF(C15="si",C69,0)+C51-C60</f>
        <v>67000</v>
      </c>
      <c r="N8" s="16"/>
      <c r="O8" s="16" t="n">
        <f aca="false">F7*(1-I11)</f>
        <v>35200</v>
      </c>
      <c r="P8" s="16"/>
      <c r="Q8" s="16"/>
      <c r="R8" s="16"/>
      <c r="S8" s="16"/>
      <c r="T8" s="16"/>
    </row>
    <row r="9" customFormat="false" ht="15" hidden="false" customHeight="false" outlineLevel="0" collapsed="false">
      <c r="B9" s="8"/>
      <c r="C9" s="8"/>
      <c r="D9" s="8"/>
      <c r="E9" s="9"/>
      <c r="F9" s="9"/>
      <c r="G9" s="9"/>
      <c r="H9" s="10"/>
      <c r="I9" s="10"/>
      <c r="J9" s="10"/>
      <c r="K9" s="20"/>
      <c r="L9" s="5" t="s">
        <v>11</v>
      </c>
      <c r="M9" s="16" t="n">
        <f aca="false">(C7-C60)/H36+IF(C15="si",C69,0)/I36+C51/J36</f>
        <v>5350</v>
      </c>
      <c r="N9" s="16"/>
      <c r="O9" s="16" t="n">
        <f aca="false">(F7)/H36</f>
        <v>2933.33333333333</v>
      </c>
      <c r="P9" s="16"/>
      <c r="Q9" s="16"/>
      <c r="R9" s="16"/>
      <c r="S9" s="16"/>
      <c r="T9" s="16"/>
    </row>
    <row r="10" customFormat="false" ht="15" hidden="false" customHeight="false" outlineLevel="0" collapsed="false">
      <c r="B10" s="13" t="s">
        <v>12</v>
      </c>
      <c r="C10" s="13"/>
      <c r="D10" s="13"/>
      <c r="E10" s="14" t="s">
        <v>12</v>
      </c>
      <c r="F10" s="14"/>
      <c r="G10" s="14"/>
      <c r="H10" s="15" t="s">
        <v>13</v>
      </c>
      <c r="I10" s="15"/>
      <c r="J10" s="15"/>
      <c r="L10" s="5" t="s">
        <v>14</v>
      </c>
      <c r="M10" s="16" t="n">
        <f aca="false">C11+C27+C31</f>
        <v>1367</v>
      </c>
      <c r="N10" s="16"/>
      <c r="O10" s="16" t="n">
        <f aca="false">F11+F23+F19+F43</f>
        <v>1288</v>
      </c>
      <c r="P10" s="16"/>
      <c r="Q10" s="16"/>
      <c r="R10" s="16"/>
      <c r="S10" s="16"/>
      <c r="T10" s="16"/>
    </row>
    <row r="11" customFormat="false" ht="15" hidden="false" customHeight="false" outlineLevel="0" collapsed="false">
      <c r="B11" s="17"/>
      <c r="C11" s="13" t="n">
        <v>1017</v>
      </c>
      <c r="D11" s="17"/>
      <c r="E11" s="18"/>
      <c r="F11" s="14" t="n">
        <v>500</v>
      </c>
      <c r="G11" s="18"/>
      <c r="H11" s="19"/>
      <c r="I11" s="21" t="n">
        <v>0</v>
      </c>
      <c r="J11" s="19"/>
      <c r="L11" s="5" t="s">
        <v>15</v>
      </c>
      <c r="M11" s="16" t="n">
        <f aca="false">M7+M6+M10</f>
        <v>1547.00006274501</v>
      </c>
      <c r="N11" s="16"/>
      <c r="O11" s="16" t="n">
        <f aca="false">O7+O6+O10</f>
        <v>2288</v>
      </c>
      <c r="P11" s="16"/>
      <c r="Q11" s="16"/>
      <c r="R11" s="16"/>
      <c r="S11" s="16"/>
      <c r="T11" s="16"/>
    </row>
    <row r="12" customFormat="false" ht="15" hidden="false" customHeight="false" outlineLevel="0" collapsed="false">
      <c r="B12" s="17"/>
      <c r="C12" s="13"/>
      <c r="D12" s="17"/>
      <c r="E12" s="18"/>
      <c r="F12" s="14"/>
      <c r="G12" s="18"/>
      <c r="H12" s="19"/>
      <c r="I12" s="21"/>
      <c r="J12" s="19"/>
      <c r="L12" s="5" t="s">
        <v>16</v>
      </c>
      <c r="M12" s="16" t="n">
        <f aca="false">M11+M8</f>
        <v>68547.000062745</v>
      </c>
      <c r="N12" s="16"/>
      <c r="O12" s="16" t="n">
        <f aca="false">O11+O8</f>
        <v>37488</v>
      </c>
      <c r="P12" s="16"/>
      <c r="Q12" s="16"/>
      <c r="R12" s="16"/>
      <c r="S12" s="16"/>
      <c r="T12" s="16"/>
    </row>
    <row r="13" customFormat="false" ht="15" hidden="false" customHeight="false" outlineLevel="0" collapsed="false">
      <c r="B13" s="8"/>
      <c r="C13" s="8"/>
      <c r="D13" s="8"/>
      <c r="E13" s="9"/>
      <c r="F13" s="9"/>
      <c r="G13" s="9"/>
      <c r="H13" s="10"/>
      <c r="I13" s="10"/>
      <c r="J13" s="10"/>
      <c r="L13" s="5" t="s">
        <v>17</v>
      </c>
      <c r="M13" s="16" t="n">
        <f aca="false">M12+4*M11+(0.46*M6*IF(I23="si",1,0))</f>
        <v>74735.000313725</v>
      </c>
      <c r="N13" s="16"/>
      <c r="O13" s="16" t="n">
        <f aca="false">O12+4*O11+(0.33*O6*IF(I23="si",1,0))</f>
        <v>46640</v>
      </c>
      <c r="P13" s="16"/>
      <c r="Q13" s="16"/>
      <c r="R13" s="16"/>
      <c r="S13" s="16"/>
      <c r="T13" s="16"/>
    </row>
    <row r="14" customFormat="false" ht="15" hidden="false" customHeight="false" outlineLevel="0" collapsed="false">
      <c r="B14" s="13" t="s">
        <v>18</v>
      </c>
      <c r="C14" s="13"/>
      <c r="D14" s="13"/>
      <c r="E14" s="14" t="s">
        <v>19</v>
      </c>
      <c r="F14" s="14"/>
      <c r="G14" s="14"/>
      <c r="H14" s="15" t="s">
        <v>20</v>
      </c>
      <c r="I14" s="15"/>
      <c r="J14" s="15"/>
      <c r="L14" s="5" t="s">
        <v>21</v>
      </c>
      <c r="M14" s="16" t="n">
        <f aca="false">M11*5+M9*5+(0.46*M6*IF(I23="si",1,0))</f>
        <v>34485.000313725</v>
      </c>
      <c r="N14" s="16"/>
      <c r="O14" s="16" t="n">
        <f aca="false">O11*5+O9*5+(0.33*O6*IF(I23="si",1,0))</f>
        <v>26106.6666666667</v>
      </c>
      <c r="P14" s="16"/>
      <c r="Q14" s="16"/>
      <c r="R14" s="16"/>
      <c r="S14" s="16"/>
      <c r="T14" s="16"/>
    </row>
    <row r="15" customFormat="false" ht="15" hidden="false" customHeight="false" outlineLevel="0" collapsed="false">
      <c r="B15" s="22"/>
      <c r="C15" s="13" t="s">
        <v>22</v>
      </c>
      <c r="D15" s="22"/>
      <c r="E15" s="18"/>
      <c r="F15" s="23" t="s">
        <v>23</v>
      </c>
      <c r="G15" s="18"/>
      <c r="H15" s="19"/>
      <c r="I15" s="21" t="n">
        <v>0.12</v>
      </c>
      <c r="J15" s="19"/>
      <c r="L15" s="5" t="s">
        <v>24</v>
      </c>
      <c r="M15" s="16" t="n">
        <f aca="false">M12+M11*9+(1.36*M6*IF(I23="si",1,0))</f>
        <v>82470.0006274501</v>
      </c>
      <c r="N15" s="16"/>
      <c r="O15" s="16" t="n">
        <f aca="false">O12+O11*9+(O6*IF(I23="si",1,0)*0.3)</f>
        <v>58080</v>
      </c>
      <c r="P15" s="16"/>
      <c r="Q15" s="16"/>
      <c r="R15" s="16"/>
      <c r="S15" s="16"/>
      <c r="T15" s="16"/>
    </row>
    <row r="16" customFormat="false" ht="15" hidden="false" customHeight="false" outlineLevel="0" collapsed="false">
      <c r="B16" s="22"/>
      <c r="C16" s="13"/>
      <c r="D16" s="22"/>
      <c r="E16" s="18"/>
      <c r="F16" s="23"/>
      <c r="G16" s="18"/>
      <c r="H16" s="19"/>
      <c r="I16" s="21"/>
      <c r="J16" s="19"/>
      <c r="L16" s="5" t="s">
        <v>25</v>
      </c>
      <c r="M16" s="16" t="n">
        <f aca="false">M11*10+M9*10+(1.36*M6*IF(I23="si",1,0))</f>
        <v>68970.0006274501</v>
      </c>
      <c r="N16" s="16"/>
      <c r="O16" s="16" t="n">
        <f aca="false">O11*10+O9*10+(O6*0.3*IF(I23="si",1,0))</f>
        <v>52213.3333333333</v>
      </c>
      <c r="P16" s="16"/>
      <c r="Q16" s="16"/>
      <c r="R16" s="16"/>
      <c r="S16" s="16"/>
      <c r="T16" s="16"/>
    </row>
    <row r="17" customFormat="false" ht="15" hidden="false" customHeight="false" outlineLevel="0" collapsed="false">
      <c r="B17" s="8"/>
      <c r="C17" s="8"/>
      <c r="D17" s="8"/>
      <c r="E17" s="9"/>
      <c r="F17" s="9"/>
      <c r="G17" s="9"/>
      <c r="H17" s="10"/>
      <c r="I17" s="10"/>
      <c r="J17" s="10"/>
      <c r="L17" s="5" t="s">
        <v>26</v>
      </c>
      <c r="M17" s="16" t="n">
        <f aca="false">0.35*C7</f>
        <v>21000</v>
      </c>
      <c r="N17" s="16"/>
      <c r="O17" s="16" t="n">
        <f aca="false">F7*0.55</f>
        <v>19360</v>
      </c>
      <c r="P17" s="16"/>
      <c r="Q17" s="16"/>
      <c r="R17" s="16"/>
      <c r="S17" s="16"/>
      <c r="T17" s="16"/>
    </row>
    <row r="18" customFormat="false" ht="15" hidden="false" customHeight="false" outlineLevel="0" collapsed="false">
      <c r="B18" s="13" t="s">
        <v>27</v>
      </c>
      <c r="C18" s="13"/>
      <c r="D18" s="13"/>
      <c r="E18" s="14" t="s">
        <v>28</v>
      </c>
      <c r="F18" s="14"/>
      <c r="G18" s="14"/>
      <c r="H18" s="15" t="s">
        <v>29</v>
      </c>
      <c r="I18" s="15"/>
      <c r="J18" s="15"/>
      <c r="L18" s="5" t="s">
        <v>30</v>
      </c>
      <c r="M18" s="16" t="n">
        <f aca="false">C7*0.1</f>
        <v>6000</v>
      </c>
      <c r="N18" s="16"/>
      <c r="O18" s="16" t="n">
        <f aca="false">F7*0.2</f>
        <v>7040</v>
      </c>
      <c r="P18" s="16"/>
      <c r="Q18" s="16"/>
      <c r="R18" s="16"/>
      <c r="S18" s="16"/>
      <c r="T18" s="16"/>
    </row>
    <row r="19" customFormat="false" ht="15" hidden="false" customHeight="false" outlineLevel="0" collapsed="false">
      <c r="B19" s="17"/>
      <c r="C19" s="13" t="n">
        <v>1</v>
      </c>
      <c r="D19" s="17"/>
      <c r="E19" s="18"/>
      <c r="F19" s="14" t="n">
        <v>438</v>
      </c>
      <c r="G19" s="18"/>
      <c r="H19" s="19"/>
      <c r="I19" s="15" t="n">
        <v>20</v>
      </c>
      <c r="J19" s="19"/>
      <c r="L19" s="5" t="s">
        <v>31</v>
      </c>
      <c r="M19" s="24" t="n">
        <f aca="false">((C65*0.45+0.55*D65+B65*C39)/C35)*C19+(1-C19)*F31/F27</f>
        <v>0.0667500062745006</v>
      </c>
      <c r="N19" s="24"/>
      <c r="O19" s="25" t="n">
        <f aca="false">F31/F27</f>
        <v>0.1</v>
      </c>
      <c r="P19" s="25"/>
      <c r="Q19" s="24"/>
      <c r="R19" s="24"/>
      <c r="S19" s="25"/>
      <c r="T19" s="25"/>
    </row>
    <row r="20" customFormat="false" ht="15" hidden="false" customHeight="false" outlineLevel="0" collapsed="false">
      <c r="B20" s="17"/>
      <c r="C20" s="13"/>
      <c r="D20" s="17"/>
      <c r="E20" s="18"/>
      <c r="F20" s="14"/>
      <c r="G20" s="18"/>
      <c r="H20" s="19"/>
      <c r="I20" s="15"/>
      <c r="J20" s="19"/>
      <c r="L20" s="5" t="s">
        <v>32</v>
      </c>
      <c r="M20" s="24" t="n">
        <f aca="false">((1-(B65+C65+D65))*IF(C15="si",0,0.0008/(0.145*C35))+(0.0008/(0.145*C35))*(B65+C65+D65))*I7*C19+(1-C19)*O20</f>
        <v>14.731035867476</v>
      </c>
      <c r="N20" s="24"/>
      <c r="O20" s="7" t="n">
        <f aca="false">((0.02441+IF(F15="gpl",-0.0013,0)+IF(F15="metano",-0.0011,0)+IF(F15="diesel",0.0201,0))*IF(I27="camion ≤3,5t (commerciale)",2,1)*IF(I27="camion &gt;3,5t (commerciale)",5,1))*I7</f>
        <v>488.2</v>
      </c>
      <c r="P20" s="7"/>
      <c r="Q20" s="24"/>
      <c r="R20" s="24"/>
      <c r="S20" s="7"/>
      <c r="T20" s="7"/>
    </row>
    <row r="21" customFormat="false" ht="15" hidden="false" customHeight="false" outlineLevel="0" collapsed="false">
      <c r="B21" s="8"/>
      <c r="C21" s="8"/>
      <c r="D21" s="8"/>
      <c r="E21" s="9"/>
      <c r="F21" s="9"/>
      <c r="G21" s="9"/>
      <c r="H21" s="10"/>
      <c r="I21" s="10"/>
      <c r="J21" s="10"/>
      <c r="L21" s="5" t="s">
        <v>33</v>
      </c>
      <c r="M21" s="24" t="n">
        <f aca="false">(1-C19)*O21+C19*((1-B65+C65+D65)*IF(C15="si",0,45.25/(0.145*C35))+(45.25/(0.145*C35))*(B65+C65+D65))*I7/1000</f>
        <v>833.224216254111</v>
      </c>
      <c r="N21" s="24"/>
      <c r="O21" s="7" t="n">
        <f aca="false">(((111-IF(F15="diesel",5,0)-IF(F15="metano",20,0)-IF(F15="GPL",17,0))*IF(I27="camion ≤3,5t (commerciale)",1.5,1)*IF(I27="camion &gt;3,5t (commerciale)",3,1))*IF(F35=0,1,0)+F35+20 +IF(F15="diesel",2,0)-IF(F15="metano",4,0)-IF(F15="GPL",5,0))*I7/1000</f>
        <v>1780</v>
      </c>
      <c r="P21" s="7"/>
      <c r="Q21" s="24"/>
      <c r="R21" s="24"/>
      <c r="S21" s="7"/>
      <c r="T21" s="7"/>
    </row>
    <row r="22" customFormat="false" ht="15" hidden="false" customHeight="false" outlineLevel="0" collapsed="false">
      <c r="B22" s="13" t="s">
        <v>34</v>
      </c>
      <c r="C22" s="13"/>
      <c r="D22" s="13"/>
      <c r="E22" s="14" t="s">
        <v>35</v>
      </c>
      <c r="F22" s="14"/>
      <c r="G22" s="14"/>
      <c r="H22" s="15" t="s">
        <v>36</v>
      </c>
      <c r="I22" s="15"/>
      <c r="J22" s="15"/>
      <c r="L22" s="5" t="s">
        <v>37</v>
      </c>
      <c r="M22" s="24" t="n">
        <f aca="false">(51.9*(M41/M40)*C47/1.5+Foglio2!H9+((1-(B65+C65+D65))*IF(C15="no",45.27/(0.145*C35),0.1)+(B65+C65+D65)*45.27/(0.145*C35))*C19+(1-C19)*((111-IF(F15="diesel",5,0)-IF(F15="metano",20,0)-IF(F15="GPL",17,0))*IF(I27="camion ≤3,5t (commerciale)",1.5,1)*IF(I27="camion &gt;3,5t (commerciale)",3,1)))*I7/1000</f>
        <v>1902.28814432471</v>
      </c>
      <c r="N22" s="24"/>
      <c r="O22" s="7" t="n">
        <f aca="false">O21+((51*F39/1.5)*I7/1000)</f>
        <v>2970</v>
      </c>
      <c r="P22" s="7"/>
      <c r="Q22" s="24"/>
      <c r="R22" s="24"/>
      <c r="S22" s="7"/>
      <c r="T22" s="7"/>
    </row>
    <row r="23" customFormat="false" ht="15" hidden="false" customHeight="false" outlineLevel="0" collapsed="false">
      <c r="B23" s="17"/>
      <c r="C23" s="13" t="n">
        <v>0</v>
      </c>
      <c r="D23" s="17"/>
      <c r="E23" s="18"/>
      <c r="F23" s="14" t="n">
        <v>250</v>
      </c>
      <c r="G23" s="18"/>
      <c r="H23" s="19"/>
      <c r="I23" s="15" t="s">
        <v>38</v>
      </c>
      <c r="J23" s="19"/>
      <c r="L23" s="5" t="s">
        <v>39</v>
      </c>
      <c r="M23" s="24" t="n">
        <f aca="false">(IF(C15="si",0,0.0345/(0.145*C35))*(1-(B65+C65+D65))+(B65+C65+D65)*0.0345/(0.145*C35))*C19*I7+(1-C19)*O23</f>
        <v>635.275921784902</v>
      </c>
      <c r="N23" s="24"/>
      <c r="O23" s="7" t="n">
        <f aca="false">(IF(I27="camion &gt;3,5t (commerciale)",4.644,0)+((0.1558+IF(F15="gpl",-0.067,0)+IF(F15="metano",-0.071,0)+IF(F15="diesel",0.4642,0))*IF(I27="automobile",1,0))+IF(I27="camion ≤3,5t (commerciale)",0.3,0))*I7</f>
        <v>3000</v>
      </c>
      <c r="P23" s="7"/>
      <c r="Q23" s="24"/>
      <c r="R23" s="24"/>
      <c r="S23" s="7"/>
      <c r="T23" s="7"/>
    </row>
    <row r="24" customFormat="false" ht="15" hidden="false" customHeight="false" outlineLevel="0" collapsed="false">
      <c r="B24" s="17"/>
      <c r="C24" s="13"/>
      <c r="D24" s="17"/>
      <c r="E24" s="18"/>
      <c r="F24" s="14"/>
      <c r="G24" s="18"/>
      <c r="H24" s="19"/>
      <c r="I24" s="15"/>
      <c r="J24" s="19"/>
      <c r="L24" s="5" t="s">
        <v>40</v>
      </c>
      <c r="M24" s="24" t="n">
        <f aca="false">(IF(C15="si",0,0.0104/(0.145*C35))*(1-(B65+C65+D65))+(B65+C65+D65)*(0.0104/(0.145*C35)))*C19*I7+(1-C19)*O24</f>
        <v>191.503466277188</v>
      </c>
      <c r="N24" s="24"/>
      <c r="O24" s="7" t="n">
        <f aca="false">((0+IF(F15="benzina",0.0006,0)+IF(F15="diesel",0.0008,0))*IF(I27="camion ≤3,5t (commerciale)",1.5,1)*IF(I27="camion &gt;3,5t (commerciale)",3.5,1))*I7</f>
        <v>9</v>
      </c>
      <c r="P24" s="7"/>
      <c r="Q24" s="24"/>
      <c r="R24" s="24"/>
      <c r="S24" s="7"/>
      <c r="T24" s="7"/>
    </row>
    <row r="25" customFormat="false" ht="15" hidden="false" customHeight="false" outlineLevel="0" collapsed="false">
      <c r="B25" s="8"/>
      <c r="C25" s="8"/>
      <c r="D25" s="8"/>
      <c r="E25" s="9"/>
      <c r="F25" s="9"/>
      <c r="G25" s="9"/>
      <c r="H25" s="10"/>
      <c r="I25" s="10"/>
      <c r="J25" s="10"/>
      <c r="K25" s="20"/>
      <c r="L25" s="5"/>
      <c r="M25" s="26"/>
      <c r="N25" s="26"/>
      <c r="O25" s="26"/>
      <c r="P25" s="26"/>
      <c r="Q25" s="26"/>
      <c r="R25" s="26"/>
      <c r="S25" s="7"/>
      <c r="T25" s="7"/>
    </row>
    <row r="26" customFormat="false" ht="15" hidden="false" customHeight="false" outlineLevel="0" collapsed="false">
      <c r="B26" s="13" t="s">
        <v>41</v>
      </c>
      <c r="C26" s="13"/>
      <c r="D26" s="13"/>
      <c r="E26" s="14" t="s">
        <v>42</v>
      </c>
      <c r="F26" s="14"/>
      <c r="G26" s="14"/>
      <c r="H26" s="15" t="s">
        <v>43</v>
      </c>
      <c r="I26" s="15"/>
      <c r="J26" s="15"/>
      <c r="L26" s="5" t="s">
        <v>44</v>
      </c>
      <c r="M26" s="27" t="n">
        <f aca="false">M22*1000*0.000025+M20*0.053+M23*0.00739+0.00791*M24</f>
        <v>54.547429989337</v>
      </c>
      <c r="N26" s="27"/>
      <c r="O26" s="27" t="n">
        <f aca="false">1000*0.000025*O22+0.07323*O20+0.00739*O23+0.00791*O24</f>
        <v>132.242076</v>
      </c>
      <c r="P26" s="27"/>
      <c r="Q26" s="27"/>
      <c r="R26" s="27"/>
      <c r="S26" s="27"/>
      <c r="T26" s="27"/>
    </row>
    <row r="27" customFormat="false" ht="15" hidden="false" customHeight="true" outlineLevel="0" collapsed="false">
      <c r="B27" s="17"/>
      <c r="C27" s="13" t="n">
        <v>200</v>
      </c>
      <c r="D27" s="17"/>
      <c r="E27" s="18"/>
      <c r="F27" s="14" t="n">
        <v>16</v>
      </c>
      <c r="G27" s="18"/>
      <c r="H27" s="19"/>
      <c r="I27" s="28" t="s">
        <v>45</v>
      </c>
      <c r="J27" s="19"/>
      <c r="L27" s="5" t="s">
        <v>46</v>
      </c>
      <c r="M27" s="27" t="n">
        <f aca="false">1000*0.000025*M21+M20*0.053+M23*0.00739+0.00791*M24</f>
        <v>27.820831787572</v>
      </c>
      <c r="N27" s="27"/>
      <c r="O27" s="27" t="n">
        <f aca="false">1000*0.000025*O21+0.07323*O20+0.00739*O23+0.00791*O24</f>
        <v>102.492076</v>
      </c>
      <c r="P27" s="27"/>
      <c r="Q27" s="27"/>
      <c r="R27" s="27"/>
      <c r="S27" s="27"/>
      <c r="T27" s="27"/>
    </row>
    <row r="28" customFormat="false" ht="15" hidden="false" customHeight="false" outlineLevel="0" collapsed="false">
      <c r="B28" s="17"/>
      <c r="C28" s="13"/>
      <c r="D28" s="17"/>
      <c r="E28" s="18"/>
      <c r="F28" s="14"/>
      <c r="G28" s="18"/>
      <c r="H28" s="19"/>
      <c r="I28" s="28"/>
      <c r="J28" s="19"/>
      <c r="L28" s="5" t="s">
        <v>47</v>
      </c>
      <c r="M28" s="24" t="n">
        <f aca="false">M11/I31</f>
        <v>3.40000013790111</v>
      </c>
      <c r="N28" s="24"/>
      <c r="O28" s="24" t="n">
        <f aca="false">O11/I31</f>
        <v>5.02857142857143</v>
      </c>
      <c r="P28" s="24"/>
      <c r="Q28" s="29"/>
      <c r="R28" s="29"/>
      <c r="S28" s="26"/>
      <c r="T28" s="26"/>
    </row>
    <row r="29" customFormat="false" ht="15" hidden="false" customHeight="false" outlineLevel="0" collapsed="false">
      <c r="B29" s="8"/>
      <c r="C29" s="8"/>
      <c r="D29" s="8"/>
      <c r="E29" s="30"/>
      <c r="F29" s="30"/>
      <c r="G29" s="30"/>
      <c r="H29" s="10"/>
      <c r="I29" s="10"/>
      <c r="J29" s="10"/>
      <c r="L29" s="31"/>
      <c r="M29" s="31"/>
      <c r="N29" s="31"/>
      <c r="O29" s="31"/>
      <c r="P29" s="31"/>
    </row>
    <row r="30" customFormat="false" ht="15" hidden="false" customHeight="false" outlineLevel="0" collapsed="false">
      <c r="B30" s="13" t="s">
        <v>35</v>
      </c>
      <c r="C30" s="13"/>
      <c r="D30" s="13"/>
      <c r="E30" s="32" t="s">
        <v>48</v>
      </c>
      <c r="F30" s="32"/>
      <c r="G30" s="32"/>
      <c r="H30" s="15" t="s">
        <v>49</v>
      </c>
      <c r="I30" s="15"/>
      <c r="J30" s="15"/>
    </row>
    <row r="31" customFormat="false" ht="15" hidden="false" customHeight="false" outlineLevel="0" collapsed="false">
      <c r="B31" s="17"/>
      <c r="C31" s="13" t="n">
        <v>150</v>
      </c>
      <c r="D31" s="17"/>
      <c r="E31" s="33"/>
      <c r="F31" s="32" t="n">
        <v>1.6</v>
      </c>
      <c r="G31" s="33"/>
      <c r="H31" s="19"/>
      <c r="I31" s="15" t="n">
        <v>455</v>
      </c>
      <c r="J31" s="19"/>
    </row>
    <row r="32" customFormat="false" ht="15" hidden="false" customHeight="false" outlineLevel="0" collapsed="false">
      <c r="B32" s="17"/>
      <c r="C32" s="13"/>
      <c r="D32" s="17"/>
      <c r="E32" s="33"/>
      <c r="F32" s="32"/>
      <c r="G32" s="33"/>
      <c r="H32" s="19"/>
      <c r="I32" s="15"/>
      <c r="J32" s="19"/>
    </row>
    <row r="33" customFormat="false" ht="15" hidden="false" customHeight="false" outlineLevel="0" collapsed="false">
      <c r="A33" s="20"/>
      <c r="B33" s="8"/>
      <c r="C33" s="8"/>
      <c r="D33" s="8"/>
      <c r="E33" s="30"/>
      <c r="F33" s="30"/>
      <c r="G33" s="30"/>
      <c r="H33" s="10"/>
      <c r="I33" s="10"/>
      <c r="J33" s="10"/>
      <c r="K33" s="20"/>
    </row>
    <row r="34" customFormat="false" ht="15" hidden="false" customHeight="false" outlineLevel="0" collapsed="false">
      <c r="B34" s="13" t="s">
        <v>50</v>
      </c>
      <c r="C34" s="13"/>
      <c r="D34" s="13"/>
      <c r="E34" s="14" t="s">
        <v>51</v>
      </c>
      <c r="F34" s="14"/>
      <c r="G34" s="14"/>
      <c r="H34" s="15" t="s">
        <v>52</v>
      </c>
      <c r="I34" s="15"/>
      <c r="J34" s="15"/>
    </row>
    <row r="35" customFormat="false" ht="15" hidden="false" customHeight="false" outlineLevel="0" collapsed="false">
      <c r="B35" s="34"/>
      <c r="C35" s="13" t="n">
        <v>3.745318</v>
      </c>
      <c r="D35" s="34"/>
      <c r="E35" s="18"/>
      <c r="F35" s="14" t="n">
        <v>158</v>
      </c>
      <c r="G35" s="18"/>
      <c r="H35" s="35" t="s">
        <v>53</v>
      </c>
      <c r="I35" s="35" t="s">
        <v>54</v>
      </c>
      <c r="J35" s="36" t="s">
        <v>55</v>
      </c>
    </row>
    <row r="36" customFormat="false" ht="15" hidden="false" customHeight="false" outlineLevel="0" collapsed="false">
      <c r="B36" s="34"/>
      <c r="C36" s="13"/>
      <c r="D36" s="34"/>
      <c r="E36" s="18"/>
      <c r="F36" s="14"/>
      <c r="G36" s="18"/>
      <c r="H36" s="15" t="n">
        <v>12</v>
      </c>
      <c r="I36" s="15" t="n">
        <v>20</v>
      </c>
      <c r="J36" s="15" t="n">
        <v>20</v>
      </c>
    </row>
    <row r="37" customFormat="false" ht="15" hidden="false" customHeight="false" outlineLevel="0" collapsed="false">
      <c r="B37" s="8"/>
      <c r="C37" s="8"/>
      <c r="D37" s="8"/>
      <c r="E37" s="30"/>
      <c r="F37" s="30"/>
      <c r="G37" s="30"/>
      <c r="H37" s="15"/>
      <c r="I37" s="15"/>
      <c r="J37" s="15"/>
    </row>
    <row r="38" customFormat="false" ht="15" hidden="false" customHeight="false" outlineLevel="0" collapsed="false">
      <c r="B38" s="13" t="s">
        <v>56</v>
      </c>
      <c r="C38" s="13"/>
      <c r="D38" s="13"/>
      <c r="E38" s="37" t="s">
        <v>57</v>
      </c>
      <c r="F38" s="37"/>
      <c r="G38" s="37"/>
    </row>
    <row r="39" customFormat="false" ht="15" hidden="false" customHeight="false" outlineLevel="0" collapsed="false">
      <c r="B39" s="17"/>
      <c r="C39" s="13" t="n">
        <v>0.25</v>
      </c>
      <c r="D39" s="17"/>
      <c r="E39" s="38"/>
      <c r="F39" s="37" t="n">
        <v>3.5</v>
      </c>
      <c r="G39" s="38"/>
    </row>
    <row r="40" customFormat="false" ht="15" hidden="false" customHeight="false" outlineLevel="0" collapsed="false">
      <c r="B40" s="17"/>
      <c r="C40" s="13"/>
      <c r="D40" s="17"/>
      <c r="E40" s="38"/>
      <c r="F40" s="37"/>
      <c r="G40" s="38"/>
      <c r="L40" s="39" t="s">
        <v>58</v>
      </c>
      <c r="M40" s="39" t="n">
        <v>230000</v>
      </c>
    </row>
    <row r="41" customFormat="false" ht="15" hidden="false" customHeight="false" outlineLevel="0" collapsed="false">
      <c r="A41" s="20"/>
      <c r="B41" s="8"/>
      <c r="C41" s="8"/>
      <c r="D41" s="8"/>
      <c r="E41" s="30"/>
      <c r="F41" s="40"/>
      <c r="G41" s="40"/>
      <c r="L41" s="39" t="s">
        <v>59</v>
      </c>
      <c r="M41" s="39" t="n">
        <v>150000</v>
      </c>
    </row>
    <row r="42" customFormat="false" ht="15" hidden="false" customHeight="false" outlineLevel="0" collapsed="false">
      <c r="B42" s="13" t="s">
        <v>60</v>
      </c>
      <c r="C42" s="13"/>
      <c r="D42" s="13"/>
      <c r="E42" s="37" t="s">
        <v>61</v>
      </c>
      <c r="F42" s="37"/>
      <c r="G42" s="37"/>
      <c r="L42" s="39" t="s">
        <v>62</v>
      </c>
      <c r="M42" s="39" t="n">
        <v>200000</v>
      </c>
    </row>
    <row r="43" customFormat="false" ht="15" hidden="false" customHeight="false" outlineLevel="0" collapsed="false">
      <c r="B43" s="17"/>
      <c r="C43" s="41" t="n">
        <v>53</v>
      </c>
      <c r="D43" s="17"/>
      <c r="E43" s="38"/>
      <c r="F43" s="37" t="n">
        <v>100</v>
      </c>
      <c r="G43" s="38"/>
    </row>
    <row r="44" customFormat="false" ht="15" hidden="false" customHeight="false" outlineLevel="0" collapsed="false">
      <c r="B44" s="17"/>
      <c r="C44" s="41"/>
      <c r="D44" s="17"/>
      <c r="E44" s="38"/>
      <c r="F44" s="37"/>
      <c r="G44" s="38"/>
    </row>
    <row r="45" customFormat="false" ht="15" hidden="false" customHeight="false" outlineLevel="0" collapsed="false">
      <c r="E45" s="40"/>
      <c r="F45" s="40"/>
      <c r="G45" s="40"/>
    </row>
    <row r="46" customFormat="false" ht="15" hidden="false" customHeight="false" outlineLevel="0" collapsed="false">
      <c r="B46" s="13" t="s">
        <v>63</v>
      </c>
      <c r="C46" s="13"/>
      <c r="D46" s="13"/>
    </row>
    <row r="47" customFormat="false" ht="15" hidden="false" customHeight="false" outlineLevel="0" collapsed="false">
      <c r="B47" s="42"/>
      <c r="C47" s="13" t="n">
        <v>3</v>
      </c>
      <c r="D47" s="42"/>
    </row>
    <row r="48" customFormat="false" ht="15" hidden="false" customHeight="false" outlineLevel="0" collapsed="false">
      <c r="B48" s="42"/>
      <c r="C48" s="13"/>
      <c r="D48" s="42"/>
    </row>
    <row r="50" customFormat="false" ht="15" hidden="false" customHeight="false" outlineLevel="0" collapsed="false">
      <c r="B50" s="13" t="s">
        <v>64</v>
      </c>
      <c r="C50" s="13"/>
      <c r="D50" s="13"/>
    </row>
    <row r="51" customFormat="false" ht="15" hidden="false" customHeight="false" outlineLevel="0" collapsed="false">
      <c r="B51" s="17"/>
      <c r="C51" s="13" t="n">
        <v>1000</v>
      </c>
      <c r="D51" s="17"/>
    </row>
    <row r="52" customFormat="false" ht="15" hidden="false" customHeight="false" outlineLevel="0" collapsed="false">
      <c r="B52" s="17"/>
      <c r="C52" s="13"/>
      <c r="D52" s="17"/>
    </row>
    <row r="53" customFormat="false" ht="15" hidden="false" customHeight="false" outlineLevel="0" collapsed="false">
      <c r="B53" s="43"/>
      <c r="C53" s="43"/>
      <c r="D53" s="43"/>
    </row>
    <row r="54" customFormat="false" ht="15" hidden="false" customHeight="true" outlineLevel="0" collapsed="false">
      <c r="B54" s="44" t="s">
        <v>65</v>
      </c>
      <c r="C54" s="44"/>
      <c r="D54" s="44"/>
    </row>
    <row r="55" customFormat="false" ht="15" hidden="false" customHeight="true" outlineLevel="0" collapsed="false">
      <c r="B55" s="44"/>
      <c r="C55" s="44"/>
      <c r="D55" s="44"/>
    </row>
    <row r="56" customFormat="false" ht="15" hidden="false" customHeight="false" outlineLevel="0" collapsed="false">
      <c r="B56" s="17"/>
      <c r="C56" s="13" t="n">
        <v>0</v>
      </c>
      <c r="D56" s="17"/>
    </row>
    <row r="57" customFormat="false" ht="15" hidden="false" customHeight="false" outlineLevel="0" collapsed="false">
      <c r="B57" s="17"/>
      <c r="C57" s="13"/>
      <c r="D57" s="17"/>
    </row>
    <row r="59" customFormat="false" ht="15" hidden="false" customHeight="false" outlineLevel="0" collapsed="false">
      <c r="B59" s="13" t="s">
        <v>66</v>
      </c>
      <c r="C59" s="13"/>
      <c r="D59" s="13"/>
    </row>
    <row r="60" customFormat="false" ht="15" hidden="false" customHeight="false" outlineLevel="0" collapsed="false">
      <c r="B60" s="45"/>
      <c r="C60" s="13" t="n">
        <v>0</v>
      </c>
      <c r="D60" s="45"/>
    </row>
    <row r="61" customFormat="false" ht="15" hidden="false" customHeight="false" outlineLevel="0" collapsed="false">
      <c r="B61" s="45"/>
      <c r="C61" s="13"/>
      <c r="D61" s="45"/>
    </row>
    <row r="63" customFormat="false" ht="28.5" hidden="false" customHeight="true" outlineLevel="0" collapsed="false">
      <c r="B63" s="44" t="s">
        <v>67</v>
      </c>
      <c r="C63" s="44"/>
      <c r="D63" s="44"/>
      <c r="E63" s="0" t="s">
        <v>68</v>
      </c>
    </row>
    <row r="64" customFormat="false" ht="24.75" hidden="false" customHeight="true" outlineLevel="0" collapsed="false">
      <c r="B64" s="46" t="s">
        <v>69</v>
      </c>
      <c r="C64" s="46" t="s">
        <v>70</v>
      </c>
      <c r="D64" s="47" t="s">
        <v>71</v>
      </c>
    </row>
    <row r="65" customFormat="false" ht="15" hidden="false" customHeight="false" outlineLevel="0" collapsed="false">
      <c r="B65" s="48" t="n">
        <v>1</v>
      </c>
      <c r="C65" s="49" t="n">
        <v>0</v>
      </c>
      <c r="D65" s="49" t="n">
        <v>0</v>
      </c>
    </row>
    <row r="66" customFormat="false" ht="15" hidden="false" customHeight="false" outlineLevel="0" collapsed="false">
      <c r="B66" s="48"/>
      <c r="C66" s="49"/>
      <c r="D66" s="49"/>
    </row>
    <row r="68" customFormat="false" ht="15" hidden="false" customHeight="false" outlineLevel="0" collapsed="false">
      <c r="B68" s="13" t="s">
        <v>72</v>
      </c>
      <c r="C68" s="13"/>
      <c r="D68" s="13"/>
    </row>
    <row r="69" customFormat="false" ht="15" hidden="false" customHeight="false" outlineLevel="0" collapsed="false">
      <c r="B69" s="22"/>
      <c r="C69" s="13" t="n">
        <v>6000</v>
      </c>
      <c r="D69" s="17"/>
    </row>
    <row r="70" customFormat="false" ht="15" hidden="false" customHeight="false" outlineLevel="0" collapsed="false">
      <c r="B70" s="22"/>
      <c r="C70" s="13"/>
      <c r="D70" s="17"/>
    </row>
    <row r="71" customFormat="false" ht="15" hidden="false" customHeight="false" outlineLevel="0" collapsed="false">
      <c r="B71" s="13" t="s">
        <v>73</v>
      </c>
      <c r="C71" s="13"/>
      <c r="D71" s="13"/>
    </row>
    <row r="72" customFormat="false" ht="15" hidden="false" customHeight="false" outlineLevel="0" collapsed="false">
      <c r="B72" s="13"/>
      <c r="C72" s="13" t="n">
        <v>0.125</v>
      </c>
      <c r="D72" s="42"/>
    </row>
    <row r="73" customFormat="false" ht="15" hidden="false" customHeight="false" outlineLevel="0" collapsed="false">
      <c r="B73" s="13"/>
      <c r="C73" s="13"/>
      <c r="D73" s="42"/>
    </row>
    <row r="74" customFormat="false" ht="15" hidden="false" customHeight="false" outlineLevel="0" collapsed="false">
      <c r="B74" s="13" t="s">
        <v>74</v>
      </c>
      <c r="C74" s="13"/>
      <c r="D74" s="13"/>
    </row>
    <row r="75" customFormat="false" ht="15" hidden="false" customHeight="false" outlineLevel="0" collapsed="false">
      <c r="B75" s="42"/>
      <c r="C75" s="13" t="n">
        <v>3900</v>
      </c>
      <c r="D75" s="42"/>
    </row>
    <row r="76" customFormat="false" ht="15" hidden="false" customHeight="false" outlineLevel="0" collapsed="false">
      <c r="B76" s="42"/>
      <c r="C76" s="13"/>
      <c r="D76" s="42"/>
    </row>
    <row r="77" customFormat="false" ht="15" hidden="false" customHeight="false" outlineLevel="0" collapsed="false">
      <c r="B77" s="13" t="s">
        <v>75</v>
      </c>
      <c r="C77" s="13"/>
      <c r="D77" s="13"/>
    </row>
    <row r="78" customFormat="false" ht="15" hidden="false" customHeight="false" outlineLevel="0" collapsed="false">
      <c r="B78" s="42"/>
      <c r="C78" s="49" t="n">
        <v>0</v>
      </c>
      <c r="D78" s="42"/>
    </row>
    <row r="79" customFormat="false" ht="15" hidden="false" customHeight="false" outlineLevel="0" collapsed="false">
      <c r="B79" s="42"/>
      <c r="C79" s="49"/>
      <c r="D79" s="42"/>
    </row>
  </sheetData>
  <mergeCells count="176">
    <mergeCell ref="B2:P2"/>
    <mergeCell ref="B4:D4"/>
    <mergeCell ref="E4:G4"/>
    <mergeCell ref="H4:J4"/>
    <mergeCell ref="M4:N5"/>
    <mergeCell ref="O4:P4"/>
    <mergeCell ref="Q4:R5"/>
    <mergeCell ref="S4:T4"/>
    <mergeCell ref="O5:P5"/>
    <mergeCell ref="S5:T5"/>
    <mergeCell ref="B6:D6"/>
    <mergeCell ref="E6:G6"/>
    <mergeCell ref="H6:J6"/>
    <mergeCell ref="M6:N6"/>
    <mergeCell ref="O6:P6"/>
    <mergeCell ref="Q6:R6"/>
    <mergeCell ref="S6:T6"/>
    <mergeCell ref="C7:C8"/>
    <mergeCell ref="F7:F8"/>
    <mergeCell ref="I7:I8"/>
    <mergeCell ref="M7:N7"/>
    <mergeCell ref="O7:P7"/>
    <mergeCell ref="Q7:R7"/>
    <mergeCell ref="S7:T7"/>
    <mergeCell ref="M8:N8"/>
    <mergeCell ref="O8:P8"/>
    <mergeCell ref="Q8:R8"/>
    <mergeCell ref="S8:T8"/>
    <mergeCell ref="M9:N9"/>
    <mergeCell ref="O9:P9"/>
    <mergeCell ref="Q9:R9"/>
    <mergeCell ref="S9:T9"/>
    <mergeCell ref="B10:D10"/>
    <mergeCell ref="E10:G10"/>
    <mergeCell ref="H10:J10"/>
    <mergeCell ref="M10:N10"/>
    <mergeCell ref="O10:P10"/>
    <mergeCell ref="Q10:R10"/>
    <mergeCell ref="S10:T10"/>
    <mergeCell ref="C11:C12"/>
    <mergeCell ref="F11:F12"/>
    <mergeCell ref="I11:I12"/>
    <mergeCell ref="M11:N11"/>
    <mergeCell ref="O11:P11"/>
    <mergeCell ref="Q11:R11"/>
    <mergeCell ref="S11:T11"/>
    <mergeCell ref="M12:N12"/>
    <mergeCell ref="O12:P12"/>
    <mergeCell ref="Q12:R12"/>
    <mergeCell ref="S12:T12"/>
    <mergeCell ref="M13:N13"/>
    <mergeCell ref="O13:P13"/>
    <mergeCell ref="Q13:R13"/>
    <mergeCell ref="S13:T13"/>
    <mergeCell ref="B14:D14"/>
    <mergeCell ref="E14:G14"/>
    <mergeCell ref="H14:J14"/>
    <mergeCell ref="M14:N14"/>
    <mergeCell ref="O14:P14"/>
    <mergeCell ref="Q14:R14"/>
    <mergeCell ref="S14:T14"/>
    <mergeCell ref="C15:C16"/>
    <mergeCell ref="F15:F16"/>
    <mergeCell ref="I15:I16"/>
    <mergeCell ref="M15:N15"/>
    <mergeCell ref="O15:P15"/>
    <mergeCell ref="Q15:R15"/>
    <mergeCell ref="S15:T15"/>
    <mergeCell ref="M16:N16"/>
    <mergeCell ref="O16:P16"/>
    <mergeCell ref="Q16:R16"/>
    <mergeCell ref="S16:T16"/>
    <mergeCell ref="M17:N17"/>
    <mergeCell ref="O17:P17"/>
    <mergeCell ref="Q17:R17"/>
    <mergeCell ref="S17:T17"/>
    <mergeCell ref="B18:D18"/>
    <mergeCell ref="E18:G18"/>
    <mergeCell ref="H18:J18"/>
    <mergeCell ref="M18:N18"/>
    <mergeCell ref="O18:P18"/>
    <mergeCell ref="Q18:R18"/>
    <mergeCell ref="S18:T18"/>
    <mergeCell ref="C19:C20"/>
    <mergeCell ref="F19:F20"/>
    <mergeCell ref="I19:I20"/>
    <mergeCell ref="M19:N19"/>
    <mergeCell ref="O19:P19"/>
    <mergeCell ref="Q19:R19"/>
    <mergeCell ref="S19:T19"/>
    <mergeCell ref="M20:N20"/>
    <mergeCell ref="O20:P20"/>
    <mergeCell ref="Q20:R20"/>
    <mergeCell ref="S20:T20"/>
    <mergeCell ref="M21:N21"/>
    <mergeCell ref="O21:P21"/>
    <mergeCell ref="Q21:R21"/>
    <mergeCell ref="S21:T21"/>
    <mergeCell ref="B22:D22"/>
    <mergeCell ref="E22:G22"/>
    <mergeCell ref="H22:J22"/>
    <mergeCell ref="M22:N22"/>
    <mergeCell ref="O22:P22"/>
    <mergeCell ref="Q22:R22"/>
    <mergeCell ref="S22:T22"/>
    <mergeCell ref="C23:C24"/>
    <mergeCell ref="F23:F24"/>
    <mergeCell ref="I23:I24"/>
    <mergeCell ref="M23:N23"/>
    <mergeCell ref="O23:P23"/>
    <mergeCell ref="Q23:R23"/>
    <mergeCell ref="S23:T23"/>
    <mergeCell ref="M24:N24"/>
    <mergeCell ref="O24:P24"/>
    <mergeCell ref="Q24:R24"/>
    <mergeCell ref="S24:T24"/>
    <mergeCell ref="S25:T25"/>
    <mergeCell ref="B26:D26"/>
    <mergeCell ref="E26:G26"/>
    <mergeCell ref="H26:J26"/>
    <mergeCell ref="M26:N26"/>
    <mergeCell ref="O26:P26"/>
    <mergeCell ref="Q26:R26"/>
    <mergeCell ref="S26:T26"/>
    <mergeCell ref="C27:C28"/>
    <mergeCell ref="F27:F28"/>
    <mergeCell ref="I27:I28"/>
    <mergeCell ref="M27:N27"/>
    <mergeCell ref="O27:P27"/>
    <mergeCell ref="Q27:R27"/>
    <mergeCell ref="S27:T27"/>
    <mergeCell ref="M28:N28"/>
    <mergeCell ref="O28:P28"/>
    <mergeCell ref="B30:D30"/>
    <mergeCell ref="E30:G30"/>
    <mergeCell ref="H30:J30"/>
    <mergeCell ref="C31:C32"/>
    <mergeCell ref="F31:F32"/>
    <mergeCell ref="I31:I32"/>
    <mergeCell ref="B34:D34"/>
    <mergeCell ref="E34:G34"/>
    <mergeCell ref="H34:J34"/>
    <mergeCell ref="C35:C36"/>
    <mergeCell ref="F35:F36"/>
    <mergeCell ref="H36:H37"/>
    <mergeCell ref="I36:I37"/>
    <mergeCell ref="J36:J37"/>
    <mergeCell ref="B38:D38"/>
    <mergeCell ref="E38:G38"/>
    <mergeCell ref="C39:C40"/>
    <mergeCell ref="F39:F40"/>
    <mergeCell ref="B42:D42"/>
    <mergeCell ref="E42:G42"/>
    <mergeCell ref="C43:C44"/>
    <mergeCell ref="F43:F44"/>
    <mergeCell ref="B46:D46"/>
    <mergeCell ref="C47:C48"/>
    <mergeCell ref="B50:D50"/>
    <mergeCell ref="C51:C52"/>
    <mergeCell ref="B54:D55"/>
    <mergeCell ref="C56:C57"/>
    <mergeCell ref="B59:D59"/>
    <mergeCell ref="C60:C61"/>
    <mergeCell ref="B63:D63"/>
    <mergeCell ref="B65:B66"/>
    <mergeCell ref="C65:C66"/>
    <mergeCell ref="D65:D66"/>
    <mergeCell ref="B68:D68"/>
    <mergeCell ref="C69:C70"/>
    <mergeCell ref="B71:D71"/>
    <mergeCell ref="B72:B73"/>
    <mergeCell ref="C72:C73"/>
    <mergeCell ref="B74:D74"/>
    <mergeCell ref="C75:C76"/>
    <mergeCell ref="B77:D77"/>
    <mergeCell ref="C78:C79"/>
  </mergeCells>
  <dataValidations count="5">
    <dataValidation allowBlank="true" operator="between" promptTitle="scelta" showDropDown="false" showErrorMessage="true" showInputMessage="true" sqref="F15:F16" type="list">
      <formula1>Foglio2!$A$1:$A$4</formula1>
      <formula2>0</formula2>
    </dataValidation>
    <dataValidation allowBlank="true" operator="between" showDropDown="false" showErrorMessage="true" showInputMessage="true" sqref="C15:C16" type="list">
      <formula1>Foglio2!$B$1:$B$2</formula1>
      <formula2>0</formula2>
    </dataValidation>
    <dataValidation allowBlank="true" operator="between" showDropDown="false" showErrorMessage="true" showInputMessage="true" sqref="I23:I24" type="list">
      <formula1>Foglio2!$C$1:$C$2</formula1>
      <formula2>0</formula2>
    </dataValidation>
    <dataValidation allowBlank="true" operator="between" showDropDown="false" showErrorMessage="true" showInputMessage="true" sqref="C19:C20" type="list">
      <formula1>Foglio2!$D$1:$D$7</formula1>
      <formula2>0</formula2>
    </dataValidation>
    <dataValidation allowBlank="true" operator="between" showDropDown="false" showErrorMessage="true" showInputMessage="true" sqref="I27:I28" type="list">
      <formula1>Foglio2!$F$1:$F$3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1.14"/>
    <col collapsed="false" customWidth="true" hidden="false" outlineLevel="0" max="5" min="5" style="0" width="8.67"/>
    <col collapsed="false" customWidth="true" hidden="false" outlineLevel="0" max="6" min="6" style="0" width="14.15"/>
    <col collapsed="false" customWidth="true" hidden="false" outlineLevel="0" max="7" min="7" style="0" width="8.67"/>
    <col collapsed="false" customWidth="true" hidden="false" outlineLevel="0" max="8" min="8" style="0" width="9.71"/>
    <col collapsed="false" customWidth="true" hidden="false" outlineLevel="0" max="1025" min="9" style="0" width="8.67"/>
  </cols>
  <sheetData>
    <row r="1" customFormat="false" ht="30" hidden="false" customHeight="true" outlineLevel="0" collapsed="false">
      <c r="A1" s="0" t="s">
        <v>23</v>
      </c>
      <c r="B1" s="0" t="s">
        <v>22</v>
      </c>
      <c r="C1" s="0" t="s">
        <v>22</v>
      </c>
      <c r="D1" s="50" t="n">
        <v>1</v>
      </c>
      <c r="F1" s="51" t="s">
        <v>45</v>
      </c>
      <c r="H1" s="0" t="n">
        <f aca="false">(176000*Modello!C43)/(1000*Modello!C43*Modello!C35)</f>
        <v>46.9920044172484</v>
      </c>
    </row>
    <row r="2" customFormat="false" ht="30" hidden="false" customHeight="false" outlineLevel="0" collapsed="false">
      <c r="A2" s="0" t="s">
        <v>76</v>
      </c>
      <c r="B2" s="0" t="s">
        <v>38</v>
      </c>
      <c r="C2" s="0" t="s">
        <v>38</v>
      </c>
      <c r="D2" s="50" t="n">
        <v>0.9</v>
      </c>
      <c r="F2" s="51" t="s">
        <v>77</v>
      </c>
    </row>
    <row r="3" customFormat="false" ht="15" hidden="false" customHeight="false" outlineLevel="0" collapsed="false">
      <c r="A3" s="0" t="s">
        <v>78</v>
      </c>
      <c r="D3" s="50" t="n">
        <v>0.8</v>
      </c>
      <c r="F3" s="0" t="s">
        <v>79</v>
      </c>
    </row>
    <row r="4" customFormat="false" ht="15" hidden="false" customHeight="false" outlineLevel="0" collapsed="false">
      <c r="A4" s="0" t="s">
        <v>80</v>
      </c>
      <c r="D4" s="50" t="n">
        <v>0.7</v>
      </c>
    </row>
    <row r="5" customFormat="false" ht="15" hidden="false" customHeight="false" outlineLevel="0" collapsed="false">
      <c r="D5" s="50" t="n">
        <v>0.6</v>
      </c>
    </row>
    <row r="6" customFormat="false" ht="15" hidden="false" customHeight="false" outlineLevel="0" collapsed="false">
      <c r="D6" s="50" t="n">
        <v>0.5</v>
      </c>
    </row>
    <row r="7" customFormat="false" ht="15" hidden="false" customHeight="false" outlineLevel="0" collapsed="false">
      <c r="D7" s="50" t="n">
        <v>0.4</v>
      </c>
    </row>
    <row r="9" customFormat="false" ht="13.8" hidden="false" customHeight="false" outlineLevel="0" collapsed="false">
      <c r="A9" s="0" t="n">
        <f aca="false">Modello!C75*(1-Modello!C78)-((Modello!I7/Modello!C35)*(1-(Modello!C65+Modello!D65+Modello!B65)))</f>
        <v>3900</v>
      </c>
      <c r="D9" s="0" t="n">
        <f aca="false">IF(A9&lt;0,0,1)</f>
        <v>1</v>
      </c>
      <c r="F9" s="0" t="n">
        <f aca="false">_xlfn.IFS(Modello!C43&lt;26,120,AND(Modello!C43&gt;25,Modello!C43&lt;36),150,AND(Modello!C43&gt;35,Modello!C43&lt;46),180,Modello!C43&gt;75,300,AND(Modello!C43&gt;45,Modello!C43&lt;56),200,AND(Modello!C43&gt;55,Modello!C43&lt;76),250)</f>
        <v>200</v>
      </c>
      <c r="H9" s="52" t="n">
        <f aca="false">F10/F9*(Modello!M42/Modello!M40)</f>
        <v>39.1739130434783</v>
      </c>
    </row>
    <row r="10" customFormat="false" ht="15" hidden="false" customHeight="false" outlineLevel="0" collapsed="false">
      <c r="F10" s="0" t="n">
        <f aca="false">Modello!C43*170</f>
        <v>9010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en-GB</dc:language>
  <cp:lastModifiedBy>Giuseppe Stecca</cp:lastModifiedBy>
  <dcterms:modified xsi:type="dcterms:W3CDTF">2019-03-22T16:54:33Z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